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activeTab="0"/>
  </bookViews>
  <sheets>
    <sheet name="vypocet" sheetId="1" r:id="rId1"/>
  </sheets>
  <definedNames/>
  <calcPr fullCalcOnLoad="1"/>
</workbook>
</file>

<file path=xl/sharedStrings.xml><?xml version="1.0" encoding="utf-8"?>
<sst xmlns="http://schemas.openxmlformats.org/spreadsheetml/2006/main" count="94" uniqueCount="75">
  <si>
    <t>úrazové pojištění</t>
  </si>
  <si>
    <t>Hrubá mzda</t>
  </si>
  <si>
    <t>Náklad firmy</t>
  </si>
  <si>
    <t>V určitých případech se některé části mzdy nezapočítávají do zdrav. nebo do soc. nebo do daní.</t>
  </si>
  <si>
    <t>Zaměstnanec</t>
  </si>
  <si>
    <t>Firma</t>
  </si>
  <si>
    <t>Superhrubá mzda</t>
  </si>
  <si>
    <t>Daň</t>
  </si>
  <si>
    <t>podepsal prohlášení</t>
  </si>
  <si>
    <t>Sleva na dani na dítě</t>
  </si>
  <si>
    <t>Základní sleva</t>
  </si>
  <si>
    <t>ano</t>
  </si>
  <si>
    <t>ne</t>
  </si>
  <si>
    <t>počet dětí pro daň.slevu</t>
  </si>
  <si>
    <t>Celková daň</t>
  </si>
  <si>
    <t>celková daň</t>
  </si>
  <si>
    <t>Čistá mzda</t>
  </si>
  <si>
    <t>základ</t>
  </si>
  <si>
    <t>na koruny nahoru</t>
  </si>
  <si>
    <t>na stokoruny nahoru</t>
  </si>
  <si>
    <t>na koruny dolů</t>
  </si>
  <si>
    <t>daň</t>
  </si>
  <si>
    <t>15% nahoru</t>
  </si>
  <si>
    <t>srážková 15% dolů</t>
  </si>
  <si>
    <t>základ daně (zaokrouhlený)</t>
  </si>
  <si>
    <t>invalidita 1. nebo 2. stupeň</t>
  </si>
  <si>
    <t>invalidita 3. stupně</t>
  </si>
  <si>
    <t>student</t>
  </si>
  <si>
    <t>invalidita</t>
  </si>
  <si>
    <t>prohlášení</t>
  </si>
  <si>
    <t>1. stupeň</t>
  </si>
  <si>
    <t>2. stupeň</t>
  </si>
  <si>
    <t>3. stupeň</t>
  </si>
  <si>
    <t>hrubá mzda</t>
  </si>
  <si>
    <t>sociální - firma</t>
  </si>
  <si>
    <t>zdravotní - firma</t>
  </si>
  <si>
    <t>sociální - zaměstnanec</t>
  </si>
  <si>
    <t>zdravotní - zaměstnanec</t>
  </si>
  <si>
    <t>daňový bonus</t>
  </si>
  <si>
    <t>Prohlášení</t>
  </si>
  <si>
    <t>zaokrouhlení</t>
  </si>
  <si>
    <t>1 - 99 Kč</t>
  </si>
  <si>
    <t>100 a více Kč</t>
  </si>
  <si>
    <t>1 - 5000 Kč</t>
  </si>
  <si>
    <t>5001 a více Kč</t>
  </si>
  <si>
    <t>Není uvažován případ překročení maximálního vyměřovacího základu pro zdravotní a sociální pojištění.</t>
  </si>
  <si>
    <t xml:space="preserve">Pozn. </t>
  </si>
  <si>
    <t>Jsou uvažovány příjmy, z nichž se platí zdravotní, sociální i daň (nejčastější případ).</t>
  </si>
  <si>
    <t>Superhrubá mzda je spočtena jako součet hrubé mzdy zaměstnance a odvodu sociálního poj. firmy a zdrav. poj. firmy.</t>
  </si>
  <si>
    <t>ORIENTAČNÍ VÝPOČET MZDY/PLATU</t>
  </si>
  <si>
    <t>rok 2012</t>
  </si>
  <si>
    <t>© Petr Mieres, KS-program, spol. s r.o.</t>
  </si>
  <si>
    <t>VYSVĚTLIVKY</t>
  </si>
  <si>
    <t>žlutě podbarvená pole jsou editovatelná</t>
  </si>
  <si>
    <t>zaokrouhlení základu</t>
  </si>
  <si>
    <t>superhruba</t>
  </si>
  <si>
    <t>socialni_fa</t>
  </si>
  <si>
    <t>zdravotni_fa</t>
  </si>
  <si>
    <t>dan_zaklad</t>
  </si>
  <si>
    <t>prohlaseni</t>
  </si>
  <si>
    <t>dan</t>
  </si>
  <si>
    <t>zakladni_sleva</t>
  </si>
  <si>
    <t>sleva_student</t>
  </si>
  <si>
    <t>sleva_inv_1,2</t>
  </si>
  <si>
    <t>sleva_inv3</t>
  </si>
  <si>
    <t>sleva_dite</t>
  </si>
  <si>
    <t>bonus_dite</t>
  </si>
  <si>
    <t>celkova_dan</t>
  </si>
  <si>
    <t>počet_deti</t>
  </si>
  <si>
    <t>Zpětný výpočet</t>
  </si>
  <si>
    <t>Požadovaná čistá mzda</t>
  </si>
  <si>
    <t>čistá mzda min</t>
  </si>
  <si>
    <t>čistá mzda max</t>
  </si>
  <si>
    <t>hrubá mzda min</t>
  </si>
  <si>
    <t>hrubá mzda max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</si>
</sst>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</numFmts>
  <fonts count="27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24" borderId="12" xfId="0" applyFill="1" applyBorder="1" applyAlignment="1" applyProtection="1">
      <alignment/>
      <protection hidden="1"/>
    </xf>
    <xf numFmtId="0" fontId="0" fillId="24" borderId="13" xfId="0" applyFill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/>
      <protection hidden="1"/>
    </xf>
    <xf numFmtId="0" fontId="1" fillId="24" borderId="15" xfId="0" applyFont="1" applyFill="1" applyBorder="1" applyAlignment="1" applyProtection="1">
      <alignment/>
      <protection hidden="1"/>
    </xf>
    <xf numFmtId="0" fontId="4" fillId="4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 locked="0"/>
    </xf>
    <xf numFmtId="0" fontId="0" fillId="25" borderId="0" xfId="0" applyFill="1" applyAlignment="1" applyProtection="1">
      <alignment/>
      <protection hidden="1"/>
    </xf>
    <xf numFmtId="0" fontId="2" fillId="24" borderId="16" xfId="0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/>
      <protection hidden="1"/>
    </xf>
    <xf numFmtId="10" fontId="0" fillId="0" borderId="0" xfId="0" applyNumberFormat="1" applyFill="1" applyBorder="1" applyAlignment="1" applyProtection="1">
      <alignment/>
      <protection hidden="1"/>
    </xf>
    <xf numFmtId="0" fontId="3" fillId="24" borderId="16" xfId="0" applyFont="1" applyFill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10" fontId="0" fillId="24" borderId="16" xfId="0" applyNumberFormat="1" applyFill="1" applyBorder="1" applyAlignment="1" applyProtection="1">
      <alignment/>
      <protection hidden="1" locked="0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0" fontId="0" fillId="4" borderId="0" xfId="0" applyNumberFormat="1" applyFill="1" applyAlignment="1" applyProtection="1">
      <alignment/>
      <protection hidden="1"/>
    </xf>
    <xf numFmtId="9" fontId="0" fillId="4" borderId="20" xfId="0" applyNumberFormat="1" applyFill="1" applyBorder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10" fontId="0" fillId="4" borderId="20" xfId="0" applyNumberFormat="1" applyFill="1" applyBorder="1" applyAlignment="1" applyProtection="1">
      <alignment/>
      <protection hidden="1"/>
    </xf>
    <xf numFmtId="10" fontId="0" fillId="0" borderId="20" xfId="0" applyNumberFormat="1" applyFill="1" applyBorder="1" applyAlignment="1" applyProtection="1">
      <alignment/>
      <protection hidden="1"/>
    </xf>
    <xf numFmtId="1" fontId="2" fillId="25" borderId="0" xfId="0" applyNumberFormat="1" applyFont="1" applyFill="1" applyAlignment="1" applyProtection="1">
      <alignment/>
      <protection hidden="1"/>
    </xf>
    <xf numFmtId="0" fontId="0" fillId="25" borderId="21" xfId="0" applyFill="1" applyBorder="1" applyAlignment="1" applyProtection="1">
      <alignment/>
      <protection hidden="1"/>
    </xf>
    <xf numFmtId="1" fontId="2" fillId="25" borderId="22" xfId="0" applyNumberFormat="1" applyFont="1" applyFill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9" fontId="0" fillId="4" borderId="25" xfId="0" applyNumberFormat="1" applyFill="1" applyBorder="1" applyAlignment="1" applyProtection="1">
      <alignment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1" fillId="0" borderId="28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4" borderId="25" xfId="0" applyFill="1" applyBorder="1" applyAlignment="1" applyProtection="1">
      <alignment/>
      <protection hidden="1"/>
    </xf>
    <xf numFmtId="49" fontId="1" fillId="0" borderId="24" xfId="0" applyNumberFormat="1" applyFont="1" applyBorder="1" applyAlignment="1" applyProtection="1">
      <alignment/>
      <protection hidden="1"/>
    </xf>
    <xf numFmtId="49" fontId="1" fillId="0" borderId="0" xfId="0" applyNumberFormat="1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25" xfId="0" applyFont="1" applyBorder="1" applyAlignment="1" applyProtection="1">
      <alignment/>
      <protection hidden="1"/>
    </xf>
    <xf numFmtId="17" fontId="1" fillId="0" borderId="24" xfId="0" applyNumberFormat="1" applyFont="1" applyBorder="1" applyAlignment="1" applyProtection="1">
      <alignment/>
      <protection hidden="1"/>
    </xf>
    <xf numFmtId="17" fontId="1" fillId="0" borderId="0" xfId="0" applyNumberFormat="1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4" borderId="29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17" fontId="0" fillId="0" borderId="0" xfId="0" applyNumberFormat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0" fontId="0" fillId="0" borderId="24" xfId="0" applyFill="1" applyBorder="1" applyAlignment="1" applyProtection="1">
      <alignment/>
      <protection hidden="1"/>
    </xf>
    <xf numFmtId="0" fontId="1" fillId="7" borderId="24" xfId="0" applyFont="1" applyFill="1" applyBorder="1" applyAlignment="1" applyProtection="1">
      <alignment/>
      <protection hidden="1"/>
    </xf>
    <xf numFmtId="0" fontId="1" fillId="0" borderId="25" xfId="0" applyFont="1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24" borderId="16" xfId="0" applyFill="1" applyBorder="1" applyAlignment="1" applyProtection="1">
      <alignment/>
      <protection hidden="1" locked="0"/>
    </xf>
    <xf numFmtId="0" fontId="3" fillId="7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0" xfId="0" applyFont="1" applyBorder="1" applyAlignment="1">
      <alignment horizontal="center"/>
    </xf>
    <xf numFmtId="0" fontId="1" fillId="7" borderId="24" xfId="0" applyFont="1" applyFill="1" applyBorder="1" applyAlignment="1" applyProtection="1">
      <alignment/>
      <protection hidden="1"/>
    </xf>
    <xf numFmtId="0" fontId="1" fillId="7" borderId="0" xfId="0" applyFont="1" applyFill="1" applyBorder="1" applyAlignment="1">
      <alignment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Z43"/>
  <sheetViews>
    <sheetView tabSelected="1" zoomScalePageLayoutView="0" workbookViewId="0" topLeftCell="A1">
      <selection activeCell="L15" sqref="L15"/>
    </sheetView>
  </sheetViews>
  <sheetFormatPr defaultColWidth="9.00390625" defaultRowHeight="12.75"/>
  <cols>
    <col min="1" max="1" width="2.25390625" style="9" customWidth="1"/>
    <col min="2" max="2" width="23.375" style="9" customWidth="1"/>
    <col min="3" max="3" width="11.625" style="9" bestFit="1" customWidth="1"/>
    <col min="4" max="4" width="9.00390625" style="9" customWidth="1"/>
    <col min="5" max="5" width="9.00390625" style="9" bestFit="1" customWidth="1"/>
    <col min="6" max="6" width="1.00390625" style="9" customWidth="1"/>
    <col min="7" max="7" width="14.375" style="9" customWidth="1"/>
    <col min="8" max="8" width="10.875" style="9" customWidth="1"/>
    <col min="9" max="9" width="15.625" style="9" customWidth="1"/>
    <col min="10" max="10" width="14.00390625" style="9" customWidth="1"/>
    <col min="11" max="11" width="12.125" style="9" customWidth="1"/>
    <col min="12" max="13" width="10.625" style="9" customWidth="1"/>
    <col min="14" max="14" width="11.25390625" style="9" bestFit="1" customWidth="1"/>
    <col min="15" max="23" width="9.125" style="9" customWidth="1"/>
    <col min="24" max="24" width="11.25390625" style="9" bestFit="1" customWidth="1"/>
    <col min="25" max="16384" width="9.125" style="9" customWidth="1"/>
  </cols>
  <sheetData>
    <row r="2" spans="2:9" ht="18">
      <c r="B2" s="7" t="s">
        <v>49</v>
      </c>
      <c r="C2" s="8"/>
      <c r="D2" s="8"/>
      <c r="E2" s="8"/>
      <c r="G2" s="7" t="s">
        <v>50</v>
      </c>
      <c r="H2" s="10"/>
      <c r="I2" s="11"/>
    </row>
    <row r="3" spans="7:21" ht="12.75">
      <c r="G3" s="12"/>
      <c r="S3" s="9" t="s">
        <v>29</v>
      </c>
      <c r="T3" s="9" t="s">
        <v>27</v>
      </c>
      <c r="U3" s="9" t="s">
        <v>28</v>
      </c>
    </row>
    <row r="4" spans="2:21" ht="13.5" thickBot="1">
      <c r="B4" s="13" t="s">
        <v>4</v>
      </c>
      <c r="K4" s="75" t="s">
        <v>69</v>
      </c>
      <c r="L4" s="76"/>
      <c r="M4" s="1"/>
      <c r="N4" s="39"/>
      <c r="S4" s="14">
        <v>1</v>
      </c>
      <c r="T4" s="14">
        <v>1</v>
      </c>
      <c r="U4" s="14">
        <v>1</v>
      </c>
    </row>
    <row r="5" spans="2:14" ht="16.5" thickBot="1">
      <c r="B5" s="15" t="s">
        <v>1</v>
      </c>
      <c r="C5" s="16">
        <v>15055</v>
      </c>
      <c r="K5" s="77" t="s">
        <v>70</v>
      </c>
      <c r="L5" s="78"/>
      <c r="M5" s="72">
        <v>24598</v>
      </c>
      <c r="N5" s="41"/>
    </row>
    <row r="6" spans="3:14" ht="4.5" customHeight="1">
      <c r="C6" s="17"/>
      <c r="H6" s="18"/>
      <c r="K6" s="68"/>
      <c r="L6" s="21"/>
      <c r="M6" s="21"/>
      <c r="N6" s="41"/>
    </row>
    <row r="7" spans="2:21" ht="14.25" customHeight="1">
      <c r="B7" s="9" t="s">
        <v>8</v>
      </c>
      <c r="C7" s="17"/>
      <c r="G7" s="9" t="s">
        <v>27</v>
      </c>
      <c r="H7" s="18"/>
      <c r="I7" s="9" t="s">
        <v>28</v>
      </c>
      <c r="K7" s="68"/>
      <c r="L7" s="59"/>
      <c r="M7" s="21"/>
      <c r="N7" s="41"/>
      <c r="S7" s="9" t="s">
        <v>11</v>
      </c>
      <c r="T7" s="9" t="s">
        <v>12</v>
      </c>
      <c r="U7" s="9" t="s">
        <v>12</v>
      </c>
    </row>
    <row r="8" spans="3:26" ht="12.75" customHeight="1">
      <c r="C8" s="17"/>
      <c r="H8" s="18"/>
      <c r="K8" s="68"/>
      <c r="L8" s="59"/>
      <c r="M8" s="21">
        <v>7031</v>
      </c>
      <c r="N8" s="41"/>
      <c r="S8" s="9" t="s">
        <v>12</v>
      </c>
      <c r="T8" s="9" t="s">
        <v>11</v>
      </c>
      <c r="U8" s="9" t="s">
        <v>30</v>
      </c>
      <c r="W8" s="67">
        <v>0</v>
      </c>
      <c r="X8" s="9">
        <v>7031</v>
      </c>
      <c r="Y8" s="9">
        <v>0</v>
      </c>
      <c r="Z8" s="9" t="s">
        <v>61</v>
      </c>
    </row>
    <row r="9" spans="3:26" ht="14.25" customHeight="1">
      <c r="C9" s="17"/>
      <c r="H9" s="18"/>
      <c r="K9" s="68"/>
      <c r="L9" s="59"/>
      <c r="M9" s="21"/>
      <c r="N9" s="41"/>
      <c r="U9" s="9" t="s">
        <v>31</v>
      </c>
      <c r="W9" s="67">
        <v>0</v>
      </c>
      <c r="X9" s="9">
        <v>4868</v>
      </c>
      <c r="Y9" s="9">
        <v>0</v>
      </c>
      <c r="Z9" s="9" t="s">
        <v>62</v>
      </c>
    </row>
    <row r="10" spans="3:26" ht="14.25" customHeight="1" thickBot="1">
      <c r="C10" s="17"/>
      <c r="H10" s="18"/>
      <c r="K10" s="69" t="s">
        <v>73</v>
      </c>
      <c r="L10" s="73">
        <v>27852</v>
      </c>
      <c r="M10" s="74">
        <v>24598</v>
      </c>
      <c r="N10" s="70" t="s">
        <v>71</v>
      </c>
      <c r="U10" s="9" t="s">
        <v>32</v>
      </c>
      <c r="W10" s="9" t="s">
        <v>55</v>
      </c>
      <c r="X10" s="9">
        <v>144935.74</v>
      </c>
      <c r="Y10" s="9">
        <v>0</v>
      </c>
      <c r="Z10" s="9" t="s">
        <v>63</v>
      </c>
    </row>
    <row r="11" spans="2:26" ht="13.5" thickBot="1">
      <c r="B11" s="9" t="s">
        <v>13</v>
      </c>
      <c r="C11" s="19">
        <v>3</v>
      </c>
      <c r="G11" s="20" t="s">
        <v>5</v>
      </c>
      <c r="H11" s="21"/>
      <c r="I11" s="21"/>
      <c r="K11" s="69" t="s">
        <v>74</v>
      </c>
      <c r="L11" s="73">
        <v>27853</v>
      </c>
      <c r="M11" s="74">
        <v>24599</v>
      </c>
      <c r="N11" s="70" t="s">
        <v>72</v>
      </c>
      <c r="W11" s="9" t="s">
        <v>56</v>
      </c>
      <c r="X11" s="9">
        <v>27040.25</v>
      </c>
      <c r="Y11" s="9">
        <v>0</v>
      </c>
      <c r="Z11" s="9" t="s">
        <v>64</v>
      </c>
    </row>
    <row r="12" spans="7:26" ht="13.5" thickBot="1">
      <c r="G12" s="22" t="s">
        <v>0</v>
      </c>
      <c r="H12" s="23"/>
      <c r="I12" s="24">
        <v>0.0014</v>
      </c>
      <c r="K12" s="60"/>
      <c r="L12" s="71"/>
      <c r="M12" s="71"/>
      <c r="N12" s="62"/>
      <c r="W12" s="9" t="s">
        <v>57</v>
      </c>
      <c r="X12" s="9">
        <v>9734.49</v>
      </c>
      <c r="Y12" s="9">
        <v>0</v>
      </c>
      <c r="Z12" s="9" t="s">
        <v>65</v>
      </c>
    </row>
    <row r="13" spans="7:26" ht="12.75">
      <c r="G13" s="25" t="s">
        <v>33</v>
      </c>
      <c r="H13" s="21">
        <f>C5</f>
        <v>15055</v>
      </c>
      <c r="I13" s="26"/>
      <c r="W13" s="9" t="s">
        <v>58</v>
      </c>
      <c r="X13" s="9">
        <v>145000</v>
      </c>
      <c r="Y13" s="9">
        <v>0</v>
      </c>
      <c r="Z13" s="9" t="s">
        <v>66</v>
      </c>
    </row>
    <row r="14" spans="2:26" ht="12.75">
      <c r="B14" s="9" t="s">
        <v>36</v>
      </c>
      <c r="C14" s="27">
        <f>CEILING(C5*D14,1)</f>
        <v>979</v>
      </c>
      <c r="D14" s="28">
        <v>0.065</v>
      </c>
      <c r="G14" s="25" t="s">
        <v>34</v>
      </c>
      <c r="H14" s="21">
        <f>C5*I14</f>
        <v>3763.75</v>
      </c>
      <c r="I14" s="29">
        <v>0.25</v>
      </c>
      <c r="W14" s="9" t="s">
        <v>59</v>
      </c>
      <c r="X14" s="9" t="b">
        <v>0</v>
      </c>
      <c r="Y14" s="9">
        <v>21750</v>
      </c>
      <c r="Z14" s="9" t="s">
        <v>67</v>
      </c>
    </row>
    <row r="15" spans="2:26" ht="12.75">
      <c r="B15" s="9" t="s">
        <v>37</v>
      </c>
      <c r="C15" s="27">
        <f>CEILING(C5*D15,1)</f>
        <v>678</v>
      </c>
      <c r="D15" s="28">
        <v>0.045</v>
      </c>
      <c r="G15" s="25" t="s">
        <v>35</v>
      </c>
      <c r="H15" s="21">
        <f>C5*I15</f>
        <v>1354.95</v>
      </c>
      <c r="I15" s="29">
        <v>0.09</v>
      </c>
      <c r="W15" s="9" t="s">
        <v>60</v>
      </c>
      <c r="X15" s="9">
        <v>21750</v>
      </c>
      <c r="Y15" s="9" t="b">
        <v>1</v>
      </c>
      <c r="Z15" s="9" t="s">
        <v>27</v>
      </c>
    </row>
    <row r="16" spans="2:26" ht="12.75">
      <c r="B16" s="9" t="s">
        <v>15</v>
      </c>
      <c r="C16" s="9">
        <f>C32</f>
        <v>-2391</v>
      </c>
      <c r="E16" s="30"/>
      <c r="F16" s="30"/>
      <c r="G16" s="25" t="s">
        <v>0</v>
      </c>
      <c r="H16" s="31">
        <f>C5*I16</f>
        <v>21.076999999999998</v>
      </c>
      <c r="I16" s="32">
        <f>I12</f>
        <v>0.0014</v>
      </c>
      <c r="W16" s="9" t="s">
        <v>61</v>
      </c>
      <c r="X16" s="9">
        <v>0</v>
      </c>
      <c r="Y16" s="9">
        <v>2</v>
      </c>
      <c r="Z16" s="9" t="s">
        <v>68</v>
      </c>
    </row>
    <row r="17" spans="5:9" ht="3" customHeight="1">
      <c r="E17" s="30"/>
      <c r="F17" s="30"/>
      <c r="G17" s="25"/>
      <c r="H17" s="31"/>
      <c r="I17" s="33"/>
    </row>
    <row r="18" spans="2:9" ht="17.25" customHeight="1" thickBot="1">
      <c r="B18" s="15" t="s">
        <v>16</v>
      </c>
      <c r="C18" s="34">
        <f>C5-C14-C15-C16</f>
        <v>15789</v>
      </c>
      <c r="E18" s="30"/>
      <c r="F18" s="30"/>
      <c r="G18" s="35" t="s">
        <v>2</v>
      </c>
      <c r="H18" s="36">
        <f>SUM(H13:H16)</f>
        <v>20194.777000000002</v>
      </c>
      <c r="I18" s="37"/>
    </row>
    <row r="20" spans="2:4" ht="12.75">
      <c r="B20" s="38" t="s">
        <v>7</v>
      </c>
      <c r="C20" s="1"/>
      <c r="D20" s="39"/>
    </row>
    <row r="21" spans="2:4" ht="12.75">
      <c r="B21" s="40" t="s">
        <v>6</v>
      </c>
      <c r="C21" s="21">
        <f>C5+H14+H15</f>
        <v>20173.7</v>
      </c>
      <c r="D21" s="41"/>
    </row>
    <row r="22" spans="2:4" ht="12.75">
      <c r="B22" s="40" t="s">
        <v>24</v>
      </c>
      <c r="C22" s="21">
        <f>SUM(L25:L28)</f>
        <v>20200</v>
      </c>
      <c r="D22" s="41"/>
    </row>
    <row r="23" spans="2:4" ht="4.5" customHeight="1">
      <c r="B23" s="40"/>
      <c r="C23" s="21"/>
      <c r="D23" s="41"/>
    </row>
    <row r="24" spans="2:16" ht="12.75">
      <c r="B24" s="40" t="s">
        <v>7</v>
      </c>
      <c r="C24" s="21">
        <f>SUM(M25:M28)</f>
        <v>3030</v>
      </c>
      <c r="D24" s="42">
        <v>0.15</v>
      </c>
      <c r="G24" s="43" t="s">
        <v>39</v>
      </c>
      <c r="H24" s="44" t="s">
        <v>17</v>
      </c>
      <c r="I24" s="44" t="s">
        <v>54</v>
      </c>
      <c r="J24" s="44" t="s">
        <v>21</v>
      </c>
      <c r="K24" s="44" t="s">
        <v>17</v>
      </c>
      <c r="L24" s="44" t="s">
        <v>40</v>
      </c>
      <c r="M24" s="45" t="s">
        <v>21</v>
      </c>
      <c r="N24" s="46"/>
      <c r="O24" s="46"/>
      <c r="P24" s="46"/>
    </row>
    <row r="25" spans="2:16" ht="12.75">
      <c r="B25" s="40" t="s">
        <v>10</v>
      </c>
      <c r="C25" s="21">
        <f>IF(S4=1,IF(C24&gt;D25,-D25,-C24),0)</f>
        <v>-2070</v>
      </c>
      <c r="D25" s="47">
        <v>2070</v>
      </c>
      <c r="G25" s="48" t="s">
        <v>11</v>
      </c>
      <c r="H25" s="49" t="s">
        <v>41</v>
      </c>
      <c r="I25" s="50" t="s">
        <v>18</v>
      </c>
      <c r="J25" s="50" t="s">
        <v>22</v>
      </c>
      <c r="K25" s="50">
        <f>IF(AND(S4=1,C21&lt;=99),C21,0)</f>
        <v>0</v>
      </c>
      <c r="L25" s="50">
        <f>CEILING(K25,1)</f>
        <v>0</v>
      </c>
      <c r="M25" s="51">
        <f>CEILING(L25*0.15,1)</f>
        <v>0</v>
      </c>
      <c r="N25" s="50"/>
      <c r="O25" s="50"/>
      <c r="P25" s="50"/>
    </row>
    <row r="26" spans="2:16" ht="12.75">
      <c r="B26" s="40" t="s">
        <v>27</v>
      </c>
      <c r="C26" s="21">
        <f>IF(AND(S4=1,T4=2),IF((C24+C25)&gt;D26,-D26,-(C24+C25)),0)</f>
        <v>0</v>
      </c>
      <c r="D26" s="47">
        <v>335</v>
      </c>
      <c r="G26" s="52" t="s">
        <v>11</v>
      </c>
      <c r="H26" s="53" t="s">
        <v>42</v>
      </c>
      <c r="I26" s="50" t="s">
        <v>19</v>
      </c>
      <c r="J26" s="50" t="s">
        <v>22</v>
      </c>
      <c r="K26" s="50">
        <f>IF(AND(S4=1,C21&gt;=100),C21,0)</f>
        <v>20173.7</v>
      </c>
      <c r="L26" s="50">
        <f>CEILING(K26,100)</f>
        <v>20200</v>
      </c>
      <c r="M26" s="51">
        <f>CEILING(L26*0.15,1)</f>
        <v>3030</v>
      </c>
      <c r="N26" s="50"/>
      <c r="O26" s="50"/>
      <c r="P26" s="50"/>
    </row>
    <row r="27" spans="2:16" ht="12.75">
      <c r="B27" s="40" t="s">
        <v>25</v>
      </c>
      <c r="C27" s="21">
        <f>IF(OR(AND(S4=1,U4=2),AND(S4=1,U4=3)),IF((C24+C25+C26)&gt;D27,-D27,-(C24+C25+C26)),0)</f>
        <v>0</v>
      </c>
      <c r="D27" s="47">
        <v>210</v>
      </c>
      <c r="G27" s="48" t="s">
        <v>12</v>
      </c>
      <c r="H27" s="49" t="s">
        <v>43</v>
      </c>
      <c r="I27" s="50" t="s">
        <v>20</v>
      </c>
      <c r="J27" s="50" t="s">
        <v>23</v>
      </c>
      <c r="K27" s="50">
        <f>IF(AND(S4=2,C21&lt;=5000),C21,0)</f>
        <v>0</v>
      </c>
      <c r="L27" s="50">
        <f>FLOOR(K27,1)</f>
        <v>0</v>
      </c>
      <c r="M27" s="51">
        <f>FLOOR(L27*0.15,1)</f>
        <v>0</v>
      </c>
      <c r="N27" s="50"/>
      <c r="O27" s="50"/>
      <c r="P27" s="50"/>
    </row>
    <row r="28" spans="2:16" ht="12.75">
      <c r="B28" s="40" t="s">
        <v>26</v>
      </c>
      <c r="C28" s="21">
        <f>IF(AND(S4=1,U4=4),IF((C24+C25+C26+C27)&gt;D28,-D28,-(C24+C25+C26+C27)),0)</f>
        <v>0</v>
      </c>
      <c r="D28" s="47">
        <v>420</v>
      </c>
      <c r="G28" s="54" t="s">
        <v>12</v>
      </c>
      <c r="H28" s="55" t="s">
        <v>44</v>
      </c>
      <c r="I28" s="55" t="s">
        <v>19</v>
      </c>
      <c r="J28" s="55" t="s">
        <v>22</v>
      </c>
      <c r="K28" s="55">
        <f>IF(AND(S4=2,C21&gt;=5001),C21,0)</f>
        <v>0</v>
      </c>
      <c r="L28" s="55">
        <f>CEILING(K28,100)</f>
        <v>0</v>
      </c>
      <c r="M28" s="56">
        <f>CEILING(L28*0.15,1)</f>
        <v>0</v>
      </c>
      <c r="N28" s="50"/>
      <c r="O28" s="50"/>
      <c r="P28" s="50"/>
    </row>
    <row r="29" spans="2:16" ht="12.75">
      <c r="B29" s="40" t="s">
        <v>9</v>
      </c>
      <c r="C29" s="21">
        <f>IF(AND(S4=1,C11&gt;0),IF((C24+C25+C26+C27+C28)&gt;(D29*C11),-D29*C11,-(C24+C25+C26+C27+C28)),0)</f>
        <v>-960</v>
      </c>
      <c r="D29" s="47">
        <v>1117</v>
      </c>
      <c r="G29" s="57"/>
      <c r="H29" s="57"/>
      <c r="I29" s="57"/>
      <c r="J29" s="57"/>
      <c r="K29" s="57"/>
      <c r="L29" s="50"/>
      <c r="M29" s="50"/>
      <c r="N29" s="57"/>
      <c r="O29" s="57"/>
      <c r="P29" s="57"/>
    </row>
    <row r="30" spans="2:6" ht="12.75">
      <c r="B30" s="40" t="s">
        <v>38</v>
      </c>
      <c r="C30" s="21">
        <f>IF(AND(S4=1,C11&gt;0,-C29&lt;D29*C11),IF(AND(D29*C11+C29&gt;=D30,D29*C11+C29&lt;=E30),-(D29*C11+C29),0),0)</f>
        <v>-2391</v>
      </c>
      <c r="D30" s="47">
        <v>50</v>
      </c>
      <c r="E30" s="58">
        <v>5025</v>
      </c>
      <c r="F30" s="59"/>
    </row>
    <row r="31" spans="2:4" ht="3" customHeight="1">
      <c r="B31" s="40"/>
      <c r="C31" s="21"/>
      <c r="D31" s="41"/>
    </row>
    <row r="32" spans="2:4" ht="12.75">
      <c r="B32" s="60" t="s">
        <v>14</v>
      </c>
      <c r="C32" s="61">
        <f>SUM(C24:C30)</f>
        <v>-2391</v>
      </c>
      <c r="D32" s="62"/>
    </row>
    <row r="33" ht="12.75">
      <c r="G33" s="57" t="s">
        <v>46</v>
      </c>
    </row>
    <row r="34" spans="2:7" ht="12.75">
      <c r="B34" s="5" t="s">
        <v>52</v>
      </c>
      <c r="C34" s="1"/>
      <c r="D34" s="2"/>
      <c r="G34" s="57" t="s">
        <v>47</v>
      </c>
    </row>
    <row r="35" spans="2:7" ht="12.75">
      <c r="B35" s="6" t="s">
        <v>53</v>
      </c>
      <c r="C35" s="3"/>
      <c r="D35" s="4"/>
      <c r="G35" s="57" t="s">
        <v>3</v>
      </c>
    </row>
    <row r="36" ht="12.75">
      <c r="G36" s="57" t="s">
        <v>48</v>
      </c>
    </row>
    <row r="37" spans="2:7" ht="12.75">
      <c r="B37" s="57" t="s">
        <v>51</v>
      </c>
      <c r="C37" s="63"/>
      <c r="D37" s="63"/>
      <c r="E37" s="63"/>
      <c r="F37" s="63"/>
      <c r="G37" s="57" t="s">
        <v>45</v>
      </c>
    </row>
    <row r="38" spans="3:6" ht="12.75">
      <c r="C38" s="64"/>
      <c r="D38" s="63"/>
      <c r="E38" s="63"/>
      <c r="F38" s="63"/>
    </row>
    <row r="41" ht="12.75">
      <c r="D41" s="65"/>
    </row>
    <row r="42" ht="12.75">
      <c r="D42" s="66"/>
    </row>
    <row r="43" ht="12.75">
      <c r="D43" s="65"/>
    </row>
  </sheetData>
  <sheetProtection password="DC81" sheet="1"/>
  <mergeCells count="2">
    <mergeCell ref="K4:L4"/>
    <mergeCell ref="K5:L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Uzivatel</cp:lastModifiedBy>
  <cp:lastPrinted>2012-06-25T11:08:51Z</cp:lastPrinted>
  <dcterms:created xsi:type="dcterms:W3CDTF">1997-01-24T11:07:25Z</dcterms:created>
  <dcterms:modified xsi:type="dcterms:W3CDTF">2012-10-03T09:47:04Z</dcterms:modified>
  <cp:category/>
  <cp:version/>
  <cp:contentType/>
  <cp:contentStatus/>
</cp:coreProperties>
</file>