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<sst xmlns="http://schemas.openxmlformats.org/spreadsheetml/2006/main" count="95" uniqueCount="75">
  <si>
    <t>úrazové pojištění</t>
  </si>
  <si>
    <t>Hrubá mzda</t>
  </si>
  <si>
    <t>Náklad firmy</t>
  </si>
  <si>
    <t>V určitých případech se některé části mzdy nezapočítávají do zdrav. nebo do soc. nebo do daní.</t>
  </si>
  <si>
    <t>Zaměstnanec</t>
  </si>
  <si>
    <t>Firma</t>
  </si>
  <si>
    <t>Daň</t>
  </si>
  <si>
    <t>podepsal prohlášení</t>
  </si>
  <si>
    <t>ano</t>
  </si>
  <si>
    <t>ne</t>
  </si>
  <si>
    <t>Celková daň</t>
  </si>
  <si>
    <t>celková daň</t>
  </si>
  <si>
    <t>Čistá mzda</t>
  </si>
  <si>
    <t>základ</t>
  </si>
  <si>
    <t>na koruny nahoru</t>
  </si>
  <si>
    <t>na stokoruny nahoru</t>
  </si>
  <si>
    <t>na koruny dolů</t>
  </si>
  <si>
    <t>daň</t>
  </si>
  <si>
    <t>15% nahoru</t>
  </si>
  <si>
    <t>srážková 15% dolů</t>
  </si>
  <si>
    <t>základ daně (zaokrouhlený)</t>
  </si>
  <si>
    <t>invalidita 1. nebo 2. stupeň</t>
  </si>
  <si>
    <t>invalidita 3. stupně</t>
  </si>
  <si>
    <t>student</t>
  </si>
  <si>
    <t>invalidita</t>
  </si>
  <si>
    <t>prohlášení</t>
  </si>
  <si>
    <t>1. stupeň</t>
  </si>
  <si>
    <t>2. stupeň</t>
  </si>
  <si>
    <t>3. stupeň</t>
  </si>
  <si>
    <t>hrubá mzda</t>
  </si>
  <si>
    <t>sociální - firma</t>
  </si>
  <si>
    <t>zdravotní - firma</t>
  </si>
  <si>
    <t>sociální - zaměstnanec</t>
  </si>
  <si>
    <t>zdravotní - zaměstnanec</t>
  </si>
  <si>
    <t>daňový bonus</t>
  </si>
  <si>
    <t>Prohlášení</t>
  </si>
  <si>
    <t>zaokrouhlení</t>
  </si>
  <si>
    <t>1 - 99 Kč</t>
  </si>
  <si>
    <t>100 a více Kč</t>
  </si>
  <si>
    <t>1 - 5000 Kč</t>
  </si>
  <si>
    <t>5001 a více Kč</t>
  </si>
  <si>
    <t xml:space="preserve">Pozn. </t>
  </si>
  <si>
    <t>Jsou uvažovány příjmy, z nichž se platí zdravotní, sociální i daň (nejčastější případ).</t>
  </si>
  <si>
    <t>Superhrubá mzda je spočtena jako součet hrubé mzdy zaměstnance a odvodu sociálního poj. firmy a zdrav. poj. firmy.</t>
  </si>
  <si>
    <t>ORIENTAČNÍ VÝPOČET MZDY/PLATU</t>
  </si>
  <si>
    <t>© Petr Mieres, KS-program, spol. s r.o.</t>
  </si>
  <si>
    <t>VYSVĚTLIVKY</t>
  </si>
  <si>
    <t>žlutě podbarvená pole jsou editovatelná</t>
  </si>
  <si>
    <t>zaokrouhlení základu</t>
  </si>
  <si>
    <t>superhruba</t>
  </si>
  <si>
    <t>socialni_fa</t>
  </si>
  <si>
    <t>zdravotni_fa</t>
  </si>
  <si>
    <t>dan_zaklad</t>
  </si>
  <si>
    <t>prohlaseni</t>
  </si>
  <si>
    <t>dan</t>
  </si>
  <si>
    <t>zakladni_sleva</t>
  </si>
  <si>
    <t>sleva_student</t>
  </si>
  <si>
    <t>sleva_inv_1,2</t>
  </si>
  <si>
    <t>sleva_inv3</t>
  </si>
  <si>
    <t>sleva_dite</t>
  </si>
  <si>
    <t>bonus_dite</t>
  </si>
  <si>
    <t>celkova_dan</t>
  </si>
  <si>
    <t>počet_deti</t>
  </si>
  <si>
    <t>základ solidární daně</t>
  </si>
  <si>
    <t>solidární daň</t>
  </si>
  <si>
    <t>Není uvažován případ překročení maximálního vyměřovacího základu pro sociální pojištění.</t>
  </si>
  <si>
    <t>superhrubá mzda</t>
  </si>
  <si>
    <t>daň 15%</t>
  </si>
  <si>
    <t>základní sleva</t>
  </si>
  <si>
    <t>sleva na dani na dítě</t>
  </si>
  <si>
    <t>počet dětí s pořadím 1</t>
  </si>
  <si>
    <t>počet dětí s pořadím 2</t>
  </si>
  <si>
    <t>počet dětí s pořadím 3</t>
  </si>
  <si>
    <t>Nejsou podchyceny další případy (DPP, DPČ, min.příjem pro daňový bonus).</t>
  </si>
  <si>
    <t>rok 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</si>
</sst>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[$-405]d\.\ mmmm\ yyyy"/>
    <numFmt numFmtId="166" formatCode="0.0%"/>
  </numFmts>
  <fonts count="4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sz val="8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/>
    </xf>
    <xf numFmtId="10" fontId="0" fillId="0" borderId="0" xfId="0" applyNumberForma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0" fontId="0" fillId="33" borderId="16" xfId="0" applyNumberFormat="1" applyFill="1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0" fontId="0" fillId="34" borderId="0" xfId="0" applyNumberFormat="1" applyFill="1" applyAlignment="1" applyProtection="1">
      <alignment/>
      <protection hidden="1"/>
    </xf>
    <xf numFmtId="9" fontId="0" fillId="34" borderId="20" xfId="0" applyNumberForma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0" fontId="0" fillId="34" borderId="20" xfId="0" applyNumberFormat="1" applyFill="1" applyBorder="1" applyAlignment="1" applyProtection="1">
      <alignment/>
      <protection hidden="1"/>
    </xf>
    <xf numFmtId="10" fontId="0" fillId="0" borderId="20" xfId="0" applyNumberFormat="1" applyFill="1" applyBorder="1" applyAlignment="1" applyProtection="1">
      <alignment/>
      <protection hidden="1"/>
    </xf>
    <xf numFmtId="1" fontId="2" fillId="35" borderId="0" xfId="0" applyNumberFormat="1" applyFont="1" applyFill="1" applyAlignment="1" applyProtection="1">
      <alignment/>
      <protection hidden="1"/>
    </xf>
    <xf numFmtId="0" fontId="0" fillId="35" borderId="21" xfId="0" applyFill="1" applyBorder="1" applyAlignment="1" applyProtection="1">
      <alignment/>
      <protection hidden="1"/>
    </xf>
    <xf numFmtId="1" fontId="2" fillId="35" borderId="22" xfId="0" applyNumberFormat="1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9" fontId="0" fillId="34" borderId="25" xfId="0" applyNumberForma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34" borderId="26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" fontId="0" fillId="0" borderId="0" xfId="0" applyNumberForma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9" fontId="0" fillId="0" borderId="25" xfId="0" applyNumberForma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26" xfId="0" applyFont="1" applyBorder="1" applyAlignment="1" applyProtection="1">
      <alignment horizontal="center"/>
      <protection hidden="1"/>
    </xf>
    <xf numFmtId="49" fontId="7" fillId="0" borderId="24" xfId="0" applyNumberFormat="1" applyFont="1" applyBorder="1" applyAlignment="1" applyProtection="1">
      <alignment/>
      <protection hidden="1"/>
    </xf>
    <xf numFmtId="49" fontId="7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17" fontId="7" fillId="0" borderId="24" xfId="0" applyNumberFormat="1" applyFont="1" applyBorder="1" applyAlignment="1" applyProtection="1">
      <alignment/>
      <protection hidden="1"/>
    </xf>
    <xf numFmtId="17" fontId="7" fillId="0" borderId="0" xfId="0" applyNumberFormat="1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3" fillId="36" borderId="26" xfId="0" applyFont="1" applyFill="1" applyBorder="1" applyAlignment="1" applyProtection="1">
      <alignment/>
      <protection hidden="1" locked="0"/>
    </xf>
    <xf numFmtId="166" fontId="0" fillId="34" borderId="20" xfId="0" applyNumberFormat="1" applyFill="1" applyBorder="1" applyAlignment="1" applyProtection="1">
      <alignment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Z46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.25390625" style="8" customWidth="1"/>
    <col min="2" max="2" width="23.375" style="8" customWidth="1"/>
    <col min="3" max="3" width="11.625" style="8" bestFit="1" customWidth="1"/>
    <col min="4" max="4" width="9.00390625" style="8" customWidth="1"/>
    <col min="5" max="5" width="9.00390625" style="8" bestFit="1" customWidth="1"/>
    <col min="6" max="6" width="1.00390625" style="8" customWidth="1"/>
    <col min="7" max="7" width="14.375" style="8" customWidth="1"/>
    <col min="8" max="8" width="10.875" style="8" customWidth="1"/>
    <col min="9" max="9" width="15.625" style="8" customWidth="1"/>
    <col min="10" max="10" width="14.00390625" style="8" customWidth="1"/>
    <col min="11" max="11" width="12.125" style="8" customWidth="1"/>
    <col min="12" max="13" width="10.625" style="8" customWidth="1"/>
    <col min="14" max="14" width="11.25390625" style="8" bestFit="1" customWidth="1"/>
    <col min="15" max="23" width="9.125" style="8" customWidth="1"/>
    <col min="24" max="24" width="11.25390625" style="8" bestFit="1" customWidth="1"/>
    <col min="25" max="16384" width="9.125" style="8" customWidth="1"/>
  </cols>
  <sheetData>
    <row r="2" spans="2:9" ht="23.25">
      <c r="B2" s="56" t="s">
        <v>44</v>
      </c>
      <c r="C2" s="7"/>
      <c r="D2" s="7"/>
      <c r="E2" s="7"/>
      <c r="G2" s="57" t="s">
        <v>74</v>
      </c>
      <c r="H2" s="9"/>
      <c r="I2" s="10"/>
    </row>
    <row r="3" spans="7:21" ht="12.75">
      <c r="G3" s="11"/>
      <c r="S3" s="8" t="s">
        <v>25</v>
      </c>
      <c r="T3" s="8" t="s">
        <v>23</v>
      </c>
      <c r="U3" s="8" t="s">
        <v>24</v>
      </c>
    </row>
    <row r="4" spans="2:21" ht="13.5" thickBot="1">
      <c r="B4" s="12" t="s">
        <v>4</v>
      </c>
      <c r="S4" s="13">
        <v>1</v>
      </c>
      <c r="T4" s="13">
        <v>1</v>
      </c>
      <c r="U4" s="13">
        <v>1</v>
      </c>
    </row>
    <row r="5" spans="2:3" ht="16.5" thickBot="1">
      <c r="B5" s="14" t="s">
        <v>1</v>
      </c>
      <c r="C5" s="15">
        <v>23590</v>
      </c>
    </row>
    <row r="6" spans="3:8" ht="4.5" customHeight="1">
      <c r="C6" s="16"/>
      <c r="H6" s="17"/>
    </row>
    <row r="7" spans="2:21" ht="14.25" customHeight="1">
      <c r="B7" s="8" t="s">
        <v>7</v>
      </c>
      <c r="C7" s="58" t="s">
        <v>8</v>
      </c>
      <c r="G7" s="8" t="s">
        <v>23</v>
      </c>
      <c r="H7" s="17"/>
      <c r="I7" s="8" t="s">
        <v>24</v>
      </c>
      <c r="S7" s="8" t="s">
        <v>8</v>
      </c>
      <c r="T7" s="8" t="s">
        <v>9</v>
      </c>
      <c r="U7" s="8" t="s">
        <v>9</v>
      </c>
    </row>
    <row r="8" spans="3:26" ht="12.75" customHeight="1">
      <c r="C8" s="16"/>
      <c r="H8" s="17"/>
      <c r="S8" s="8" t="s">
        <v>9</v>
      </c>
      <c r="T8" s="8" t="s">
        <v>8</v>
      </c>
      <c r="U8" s="8" t="s">
        <v>26</v>
      </c>
      <c r="W8" s="54">
        <v>0</v>
      </c>
      <c r="X8" s="8">
        <v>7031</v>
      </c>
      <c r="Y8" s="8">
        <v>0</v>
      </c>
      <c r="Z8" s="8" t="s">
        <v>55</v>
      </c>
    </row>
    <row r="9" spans="2:26" ht="14.25" customHeight="1">
      <c r="B9" s="8" t="s">
        <v>70</v>
      </c>
      <c r="C9" s="70">
        <v>1</v>
      </c>
      <c r="D9" s="7">
        <v>1267</v>
      </c>
      <c r="E9" s="25"/>
      <c r="H9" s="17"/>
      <c r="U9" s="8" t="s">
        <v>27</v>
      </c>
      <c r="W9" s="54">
        <v>0</v>
      </c>
      <c r="X9" s="8">
        <v>4868</v>
      </c>
      <c r="Y9" s="8">
        <v>0</v>
      </c>
      <c r="Z9" s="8" t="s">
        <v>56</v>
      </c>
    </row>
    <row r="10" spans="2:26" ht="14.25" customHeight="1">
      <c r="B10" s="8" t="s">
        <v>71</v>
      </c>
      <c r="C10" s="70">
        <v>1</v>
      </c>
      <c r="D10" s="7">
        <v>1617</v>
      </c>
      <c r="H10" s="17"/>
      <c r="U10" s="8" t="s">
        <v>28</v>
      </c>
      <c r="W10" s="8" t="s">
        <v>49</v>
      </c>
      <c r="X10" s="8">
        <v>144935.74</v>
      </c>
      <c r="Y10" s="8">
        <v>0</v>
      </c>
      <c r="Z10" s="8" t="s">
        <v>57</v>
      </c>
    </row>
    <row r="11" spans="2:26" ht="13.5" thickBot="1">
      <c r="B11" s="8" t="s">
        <v>72</v>
      </c>
      <c r="C11" s="70">
        <v>2</v>
      </c>
      <c r="D11" s="7">
        <v>2017</v>
      </c>
      <c r="G11" s="18" t="s">
        <v>5</v>
      </c>
      <c r="H11" s="19"/>
      <c r="I11" s="19"/>
      <c r="K11" s="25"/>
      <c r="W11" s="8" t="s">
        <v>50</v>
      </c>
      <c r="X11" s="8">
        <v>27040.25</v>
      </c>
      <c r="Y11" s="8">
        <v>0</v>
      </c>
      <c r="Z11" s="8" t="s">
        <v>58</v>
      </c>
    </row>
    <row r="12" spans="7:26" ht="13.5" thickBot="1">
      <c r="G12" s="20" t="s">
        <v>0</v>
      </c>
      <c r="H12" s="21"/>
      <c r="I12" s="22">
        <v>0.0014</v>
      </c>
      <c r="W12" s="8" t="s">
        <v>51</v>
      </c>
      <c r="X12" s="8">
        <v>9734.49</v>
      </c>
      <c r="Y12" s="8">
        <v>0</v>
      </c>
      <c r="Z12" s="8" t="s">
        <v>59</v>
      </c>
    </row>
    <row r="13" spans="7:26" ht="12.75">
      <c r="G13" s="23" t="s">
        <v>29</v>
      </c>
      <c r="H13" s="19">
        <f>C5</f>
        <v>23590</v>
      </c>
      <c r="I13" s="24"/>
      <c r="W13" s="8" t="s">
        <v>52</v>
      </c>
      <c r="X13" s="8">
        <v>145000</v>
      </c>
      <c r="Y13" s="8">
        <v>0</v>
      </c>
      <c r="Z13" s="8" t="s">
        <v>60</v>
      </c>
    </row>
    <row r="14" spans="2:26" ht="12.75">
      <c r="B14" s="8" t="s">
        <v>32</v>
      </c>
      <c r="C14" s="25">
        <f>CEILING(C5*D14,1)</f>
        <v>1534</v>
      </c>
      <c r="D14" s="26">
        <v>0.065</v>
      </c>
      <c r="G14" s="23" t="s">
        <v>30</v>
      </c>
      <c r="H14" s="19">
        <f>C5*I14</f>
        <v>5850.32</v>
      </c>
      <c r="I14" s="71">
        <v>0.248</v>
      </c>
      <c r="W14" s="8" t="s">
        <v>53</v>
      </c>
      <c r="X14" s="8" t="b">
        <v>0</v>
      </c>
      <c r="Y14" s="8">
        <v>21750</v>
      </c>
      <c r="Z14" s="8" t="s">
        <v>61</v>
      </c>
    </row>
    <row r="15" spans="2:26" ht="12.75">
      <c r="B15" s="8" t="s">
        <v>33</v>
      </c>
      <c r="C15" s="25">
        <f>CEILING(C5*D15,1)</f>
        <v>1062</v>
      </c>
      <c r="D15" s="26">
        <v>0.045</v>
      </c>
      <c r="G15" s="23" t="s">
        <v>31</v>
      </c>
      <c r="H15" s="19">
        <f>C5*I15</f>
        <v>2123.1</v>
      </c>
      <c r="I15" s="27">
        <v>0.09</v>
      </c>
      <c r="W15" s="8" t="s">
        <v>54</v>
      </c>
      <c r="X15" s="8">
        <v>21750</v>
      </c>
      <c r="Y15" s="8" t="b">
        <v>1</v>
      </c>
      <c r="Z15" s="8" t="s">
        <v>23</v>
      </c>
    </row>
    <row r="16" spans="2:26" ht="12.75">
      <c r="B16" s="8" t="s">
        <v>11</v>
      </c>
      <c r="C16" s="8">
        <f>C35</f>
        <v>-4248</v>
      </c>
      <c r="E16" s="28"/>
      <c r="F16" s="28"/>
      <c r="G16" s="23" t="s">
        <v>0</v>
      </c>
      <c r="H16" s="29">
        <f>C5*I16</f>
        <v>33.025999999999996</v>
      </c>
      <c r="I16" s="30">
        <f>I12</f>
        <v>0.0014</v>
      </c>
      <c r="W16" s="8" t="s">
        <v>55</v>
      </c>
      <c r="X16" s="8">
        <v>0</v>
      </c>
      <c r="Y16" s="8">
        <v>2</v>
      </c>
      <c r="Z16" s="8" t="s">
        <v>62</v>
      </c>
    </row>
    <row r="17" spans="5:9" ht="3" customHeight="1">
      <c r="E17" s="28"/>
      <c r="F17" s="28"/>
      <c r="G17" s="23"/>
      <c r="H17" s="29"/>
      <c r="I17" s="31"/>
    </row>
    <row r="18" spans="2:9" ht="17.25" customHeight="1" thickBot="1">
      <c r="B18" s="14" t="s">
        <v>12</v>
      </c>
      <c r="C18" s="32">
        <f>C5-C14-C15-C16</f>
        <v>25242</v>
      </c>
      <c r="E18" s="28"/>
      <c r="F18" s="28"/>
      <c r="G18" s="33" t="s">
        <v>2</v>
      </c>
      <c r="H18" s="34">
        <f>SUM(H13:H16)</f>
        <v>31596.446</v>
      </c>
      <c r="I18" s="35"/>
    </row>
    <row r="20" spans="2:4" ht="12.75">
      <c r="B20" s="36" t="s">
        <v>6</v>
      </c>
      <c r="C20" s="1"/>
      <c r="D20" s="37"/>
    </row>
    <row r="21" spans="2:4" ht="12.75">
      <c r="B21" s="38" t="s">
        <v>66</v>
      </c>
      <c r="C21" s="19">
        <f>C5+H14+H15</f>
        <v>31563.42</v>
      </c>
      <c r="D21" s="39"/>
    </row>
    <row r="22" spans="2:4" ht="12.75">
      <c r="B22" s="38" t="s">
        <v>20</v>
      </c>
      <c r="C22" s="19">
        <f>SUM(L28:L31)</f>
        <v>31600</v>
      </c>
      <c r="D22" s="39"/>
    </row>
    <row r="23" spans="2:5" ht="12.75">
      <c r="B23" s="38" t="s">
        <v>63</v>
      </c>
      <c r="C23" s="19">
        <f>MAX(0,C5-E23)</f>
        <v>0</v>
      </c>
      <c r="D23" s="39"/>
      <c r="E23" s="7">
        <v>139340</v>
      </c>
    </row>
    <row r="24" spans="2:4" ht="4.5" customHeight="1">
      <c r="B24" s="38"/>
      <c r="C24" s="19"/>
      <c r="D24" s="39"/>
    </row>
    <row r="25" spans="2:4" ht="12" customHeight="1">
      <c r="B25" s="38" t="s">
        <v>67</v>
      </c>
      <c r="C25" s="19">
        <f>SUM(M28:M31)</f>
        <v>4740</v>
      </c>
      <c r="D25" s="40">
        <v>0.15</v>
      </c>
    </row>
    <row r="26" spans="2:16" ht="12" customHeight="1">
      <c r="B26" s="38" t="s">
        <v>64</v>
      </c>
      <c r="C26" s="19">
        <f>CEILING(C23*0.07,1)</f>
        <v>0</v>
      </c>
      <c r="D26" s="39"/>
      <c r="G26" s="59"/>
      <c r="H26" s="59"/>
      <c r="I26" s="59"/>
      <c r="J26" s="59"/>
      <c r="K26" s="59"/>
      <c r="L26" s="59"/>
      <c r="M26" s="59"/>
      <c r="N26" s="59"/>
      <c r="O26" s="41"/>
      <c r="P26" s="41"/>
    </row>
    <row r="27" spans="2:16" ht="12.75">
      <c r="B27" s="38" t="s">
        <v>6</v>
      </c>
      <c r="C27" s="19">
        <f>SUM(C25:C26)</f>
        <v>4740</v>
      </c>
      <c r="D27" s="55"/>
      <c r="G27" s="60" t="s">
        <v>35</v>
      </c>
      <c r="H27" s="60" t="s">
        <v>13</v>
      </c>
      <c r="I27" s="60" t="s">
        <v>48</v>
      </c>
      <c r="J27" s="60" t="s">
        <v>17</v>
      </c>
      <c r="K27" s="60" t="s">
        <v>13</v>
      </c>
      <c r="L27" s="60" t="s">
        <v>36</v>
      </c>
      <c r="M27" s="60" t="s">
        <v>17</v>
      </c>
      <c r="N27" s="59"/>
      <c r="O27" s="41"/>
      <c r="P27" s="41"/>
    </row>
    <row r="28" spans="2:16" ht="12.75">
      <c r="B28" s="38" t="s">
        <v>68</v>
      </c>
      <c r="C28" s="19">
        <f>IF(S4=1,IF(C27&gt;D28,-D28,-C27),0)</f>
        <v>-2070</v>
      </c>
      <c r="D28" s="42">
        <v>2070</v>
      </c>
      <c r="G28" s="61" t="s">
        <v>8</v>
      </c>
      <c r="H28" s="62" t="s">
        <v>37</v>
      </c>
      <c r="I28" s="63" t="s">
        <v>14</v>
      </c>
      <c r="J28" s="63" t="s">
        <v>18</v>
      </c>
      <c r="K28" s="63">
        <f>IF(AND(S4=1,C21&lt;=99),C21,0)</f>
        <v>0</v>
      </c>
      <c r="L28" s="63">
        <f>CEILING(K28,1)</f>
        <v>0</v>
      </c>
      <c r="M28" s="64">
        <f>CEILING(L28*0.15,1)</f>
        <v>0</v>
      </c>
      <c r="N28" s="63"/>
      <c r="O28" s="43"/>
      <c r="P28" s="43"/>
    </row>
    <row r="29" spans="2:16" ht="12.75">
      <c r="B29" s="38" t="s">
        <v>23</v>
      </c>
      <c r="C29" s="19">
        <f>IF(AND(S4=1,T4=2),IF((C27+C28)&gt;D29,-D29,-(C27+C28)),0)</f>
        <v>0</v>
      </c>
      <c r="D29" s="42">
        <v>335</v>
      </c>
      <c r="G29" s="65" t="s">
        <v>8</v>
      </c>
      <c r="H29" s="66" t="s">
        <v>38</v>
      </c>
      <c r="I29" s="63" t="s">
        <v>15</v>
      </c>
      <c r="J29" s="63" t="s">
        <v>18</v>
      </c>
      <c r="K29" s="63">
        <f>IF(AND(S4=1,C21&gt;=100),C21,0)</f>
        <v>31563.42</v>
      </c>
      <c r="L29" s="63">
        <f>CEILING(K29,100)</f>
        <v>31600</v>
      </c>
      <c r="M29" s="64">
        <f>CEILING(L29*0.15,1)</f>
        <v>4740</v>
      </c>
      <c r="N29" s="63"/>
      <c r="O29" s="43"/>
      <c r="P29" s="43"/>
    </row>
    <row r="30" spans="2:16" ht="12.75">
      <c r="B30" s="38" t="s">
        <v>21</v>
      </c>
      <c r="C30" s="19">
        <f>IF(OR(AND(S4=1,U4=2),AND(S4=1,U4=3)),IF((C27+C28+C29)&gt;D30,-D30,-(C27+C28+C29)),0)</f>
        <v>0</v>
      </c>
      <c r="D30" s="42">
        <v>210</v>
      </c>
      <c r="G30" s="61" t="s">
        <v>9</v>
      </c>
      <c r="H30" s="62" t="s">
        <v>39</v>
      </c>
      <c r="I30" s="63" t="s">
        <v>16</v>
      </c>
      <c r="J30" s="63" t="s">
        <v>19</v>
      </c>
      <c r="K30" s="63">
        <f>IF(AND(S4=2,C21&lt;=5000),C21,0)</f>
        <v>0</v>
      </c>
      <c r="L30" s="63">
        <f>FLOOR(K30,1)</f>
        <v>0</v>
      </c>
      <c r="M30" s="64">
        <f>FLOOR(L30*0.15,1)</f>
        <v>0</v>
      </c>
      <c r="N30" s="63"/>
      <c r="O30" s="43"/>
      <c r="P30" s="43"/>
    </row>
    <row r="31" spans="2:16" ht="12.75">
      <c r="B31" s="38" t="s">
        <v>22</v>
      </c>
      <c r="C31" s="19">
        <f>IF(AND(S4=1,U4=4),IF((C27+C28+C29+C30)&gt;D31,-D31,-(C27+C28+C29+C30)),0)</f>
        <v>0</v>
      </c>
      <c r="D31" s="42">
        <v>420</v>
      </c>
      <c r="G31" s="67" t="s">
        <v>9</v>
      </c>
      <c r="H31" s="68" t="s">
        <v>40</v>
      </c>
      <c r="I31" s="68" t="s">
        <v>15</v>
      </c>
      <c r="J31" s="68" t="s">
        <v>18</v>
      </c>
      <c r="K31" s="68">
        <f>IF(AND(S4=2,C21&gt;=5001),C21,0)</f>
        <v>0</v>
      </c>
      <c r="L31" s="68">
        <f>CEILING(K31,100)</f>
        <v>0</v>
      </c>
      <c r="M31" s="69">
        <f>CEILING(L31*0.15,1)</f>
        <v>0</v>
      </c>
      <c r="N31" s="63"/>
      <c r="O31" s="43"/>
      <c r="P31" s="43"/>
    </row>
    <row r="32" spans="2:16" ht="12.75">
      <c r="B32" s="38" t="s">
        <v>69</v>
      </c>
      <c r="C32" s="19">
        <f>IF(AND(S4=1,SUM(C9:C11)&gt;0),IF((C27+C28+C29+C30+C31)&gt;(C9*D9+C10*D10+C11*D11),-(C9*D9+C10*D10+C11*D11),-(C27+C28+C29+C30+C31)),0)</f>
        <v>-2670</v>
      </c>
      <c r="D32" s="42"/>
      <c r="G32" s="44"/>
      <c r="H32" s="44"/>
      <c r="I32" s="44"/>
      <c r="J32" s="44"/>
      <c r="K32" s="44"/>
      <c r="L32" s="43"/>
      <c r="M32" s="43"/>
      <c r="N32" s="44"/>
      <c r="O32" s="44"/>
      <c r="P32" s="44"/>
    </row>
    <row r="33" spans="2:6" ht="12.75">
      <c r="B33" s="38" t="s">
        <v>34</v>
      </c>
      <c r="C33" s="19">
        <f>IF(AND(S4=1,SUM(C9:C11)&gt;0,-C32&lt;C9*D9+C10*D10+C11*D11),IF(AND(C9*D9+C10*D10+C11*D11+C32&gt;=D33,C9*D9+C10*D10+C11*D11+C32&lt;=E33),-(C9*D9+C10*D10+C11*D11+C32),0),0)</f>
        <v>-4248</v>
      </c>
      <c r="D33" s="42">
        <v>50</v>
      </c>
      <c r="E33" s="45">
        <v>5025</v>
      </c>
      <c r="F33" s="46"/>
    </row>
    <row r="34" spans="2:4" ht="3" customHeight="1">
      <c r="B34" s="38"/>
      <c r="C34" s="19"/>
      <c r="D34" s="39"/>
    </row>
    <row r="35" spans="2:7" ht="12.75">
      <c r="B35" s="47" t="s">
        <v>10</v>
      </c>
      <c r="C35" s="48">
        <f>SUM(C27:C33)</f>
        <v>-4248</v>
      </c>
      <c r="D35" s="49"/>
      <c r="G35" s="44" t="s">
        <v>41</v>
      </c>
    </row>
    <row r="36" ht="12.75">
      <c r="G36" s="44" t="s">
        <v>42</v>
      </c>
    </row>
    <row r="37" spans="2:7" ht="12.75">
      <c r="B37" s="5" t="s">
        <v>46</v>
      </c>
      <c r="C37" s="1"/>
      <c r="D37" s="2"/>
      <c r="G37" s="44" t="s">
        <v>3</v>
      </c>
    </row>
    <row r="38" spans="2:7" ht="12.75">
      <c r="B38" s="6" t="s">
        <v>47</v>
      </c>
      <c r="C38" s="3"/>
      <c r="D38" s="4"/>
      <c r="G38" s="44" t="s">
        <v>43</v>
      </c>
    </row>
    <row r="39" ht="12.75">
      <c r="G39" s="44" t="s">
        <v>65</v>
      </c>
    </row>
    <row r="40" spans="2:7" ht="12.75">
      <c r="B40" s="44" t="s">
        <v>45</v>
      </c>
      <c r="C40" s="50"/>
      <c r="D40" s="50"/>
      <c r="E40" s="50"/>
      <c r="F40" s="50"/>
      <c r="G40" s="44" t="s">
        <v>73</v>
      </c>
    </row>
    <row r="41" spans="3:6" ht="12.75">
      <c r="C41" s="51"/>
      <c r="D41" s="50"/>
      <c r="E41" s="50"/>
      <c r="F41" s="50"/>
    </row>
    <row r="44" ht="12.75">
      <c r="D44" s="52"/>
    </row>
    <row r="45" ht="12.75">
      <c r="D45" s="53"/>
    </row>
    <row r="46" ht="12.75">
      <c r="D46" s="52"/>
    </row>
  </sheetData>
  <sheetProtection password="DC81" sheet="1"/>
  <dataValidations count="2">
    <dataValidation type="list" allowBlank="1" showInputMessage="1" showErrorMessage="1" sqref="C9">
      <formula1>"0,1"</formula1>
    </dataValidation>
    <dataValidation type="list" allowBlank="1" showInputMessage="1" showErrorMessage="1" sqref="C10">
      <formula1>"0,1"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Mieres</cp:lastModifiedBy>
  <cp:lastPrinted>2012-06-25T11:08:51Z</cp:lastPrinted>
  <dcterms:created xsi:type="dcterms:W3CDTF">1997-01-24T11:07:25Z</dcterms:created>
  <dcterms:modified xsi:type="dcterms:W3CDTF">2020-05-12T13:43:31Z</dcterms:modified>
  <cp:category/>
  <cp:version/>
  <cp:contentType/>
  <cp:contentStatus/>
</cp:coreProperties>
</file>